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DBRIMF95" sheetId="1" r:id="rId1"/>
  </sheets>
  <definedNames>
    <definedName name="_Regression_Int" localSheetId="0" hidden="1">1</definedName>
    <definedName name="_Sort" hidden="1">'DBRIMF95'!$A$1:$IM$4086</definedName>
    <definedName name="_xlnm.Print_Area" localSheetId="0">'DBRIMF95'!$A$1:$K$59</definedName>
    <definedName name="Druckbereich_MI" localSheetId="0">'DBRIMF95'!$A$1:$G$60</definedName>
  </definedNames>
  <calcPr fullCalcOnLoad="1"/>
</workbook>
</file>

<file path=xl/sharedStrings.xml><?xml version="1.0" encoding="utf-8"?>
<sst xmlns="http://schemas.openxmlformats.org/spreadsheetml/2006/main" count="89" uniqueCount="80">
  <si>
    <t>&gt;&gt;&gt; Vergleich verschiedener Mastendgewichte: &lt;&lt;&lt;</t>
  </si>
  <si>
    <t>Bulle</t>
  </si>
  <si>
    <t>Steigerung</t>
  </si>
  <si>
    <t>Maissilage</t>
  </si>
  <si>
    <t>Mastendgewicht</t>
  </si>
  <si>
    <t>Verkaufsalter (Monate)</t>
  </si>
  <si>
    <t>Einstallalter (Monate)</t>
  </si>
  <si>
    <t>Zunahmen:</t>
  </si>
  <si>
    <t>Einstallgewicht  kg</t>
  </si>
  <si>
    <t>g Zunahmen (ab 125 kg)</t>
  </si>
  <si>
    <t>Masttage (ab125 kg)</t>
  </si>
  <si>
    <t>Mastendgewicht  kg</t>
  </si>
  <si>
    <t xml:space="preserve"> Ausschlachtung %</t>
  </si>
  <si>
    <t>Schlachtgewicht kg</t>
  </si>
  <si>
    <t xml:space="preserve"> EUR/kg SG (o.MW.)</t>
  </si>
  <si>
    <t>Schlachterlös  EUR</t>
  </si>
  <si>
    <t>- Vorkosten</t>
  </si>
  <si>
    <t>= verbleiben</t>
  </si>
  <si>
    <t xml:space="preserve"> = + MWSt % = EUR</t>
  </si>
  <si>
    <t>Marktleistung  EUR</t>
  </si>
  <si>
    <t>Kalb / Fresser (o.MW.)</t>
  </si>
  <si>
    <t>Aufzuchtkosten  (bis 125 kg)</t>
  </si>
  <si>
    <t>Futter:</t>
  </si>
  <si>
    <t>Verbrauch</t>
  </si>
  <si>
    <t>EUR /</t>
  </si>
  <si>
    <t>kg/</t>
  </si>
  <si>
    <t>kg</t>
  </si>
  <si>
    <t>MJ ME</t>
  </si>
  <si>
    <t>insges.</t>
  </si>
  <si>
    <t xml:space="preserve">      Kosten</t>
  </si>
  <si>
    <t>dt bzw.</t>
  </si>
  <si>
    <t>Tag</t>
  </si>
  <si>
    <t>TS/</t>
  </si>
  <si>
    <t xml:space="preserve"> / Tag</t>
  </si>
  <si>
    <t>kg/MJ ME</t>
  </si>
  <si>
    <t>in der</t>
  </si>
  <si>
    <t xml:space="preserve"> /10MJME</t>
  </si>
  <si>
    <t xml:space="preserve"> (+10%)</t>
  </si>
  <si>
    <t>Endmast</t>
  </si>
  <si>
    <t>MJ ME/Tag</t>
  </si>
  <si>
    <t>Kraftfutter/Gerste</t>
  </si>
  <si>
    <t>Kraftfutter/Soja</t>
  </si>
  <si>
    <t>das sind</t>
  </si>
  <si>
    <t>kg TS / Tag</t>
  </si>
  <si>
    <t>Mineralfutter</t>
  </si>
  <si>
    <t>Futterkosten</t>
  </si>
  <si>
    <t>EUR/Tag</t>
  </si>
  <si>
    <t>Maissilage (10,7MJ)</t>
  </si>
  <si>
    <t>Grassilage (9,7MJ)</t>
  </si>
  <si>
    <t>Mehrkosten</t>
  </si>
  <si>
    <t>sonstiges</t>
  </si>
  <si>
    <t>Futter EUR</t>
  </si>
  <si>
    <t>Summe:</t>
  </si>
  <si>
    <t>Futterkosten/Tag:</t>
  </si>
  <si>
    <t>Tierarzt/Med./TSK</t>
  </si>
  <si>
    <t>Energie/Wasser/Geräte</t>
  </si>
  <si>
    <t>Verluste/Versicherung/sonstiges</t>
  </si>
  <si>
    <t>Zinsansatz Viehkapital (%)</t>
  </si>
  <si>
    <t>Direktkosten EUR</t>
  </si>
  <si>
    <t>Direktkostenfreie Leistung / Bulle   EUR</t>
  </si>
  <si>
    <t>Prämie/erzeugtes Tier</t>
  </si>
  <si>
    <t>DkfL / Bulle incl. Prämie</t>
  </si>
  <si>
    <t>Leertage/Durchgang:</t>
  </si>
  <si>
    <t>Gesamt-Mastdauer bis zum Neu-Belegen:</t>
  </si>
  <si>
    <t>Auslastung (%)</t>
  </si>
  <si>
    <t>Umtriebe/Mastplatz</t>
  </si>
  <si>
    <t>DkfL / Mastplatz (&gt;125 kg) EUR</t>
  </si>
  <si>
    <t>Mastplätze (&gt;125 kg)</t>
  </si>
  <si>
    <t>erzeugte Tiere/Jahr</t>
  </si>
  <si>
    <t>Kälberplätze (+10%)</t>
  </si>
  <si>
    <t>AKmin / 100 Mastplätze / Tag (Routine-Arbeiten)</t>
  </si>
  <si>
    <t>=&gt; ergibt AKh/erzeugtes Tier</t>
  </si>
  <si>
    <t xml:space="preserve"> + AKh für Kälberaufzucht</t>
  </si>
  <si>
    <t xml:space="preserve"> + AKh für Vermarktung/Einstallen</t>
  </si>
  <si>
    <t>= AKh/erzeugtes Tier</t>
  </si>
  <si>
    <t>= AKh/Mastplatz</t>
  </si>
  <si>
    <t>DkfL / AKh  EUR</t>
  </si>
  <si>
    <t>Festkosten/Platz/Jahr  EUR</t>
  </si>
  <si>
    <t>Gewinn / Platz  EUR</t>
  </si>
  <si>
    <t>Gewinn / AKh   EUR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</si>
</sst>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-mmm\-yy_)"/>
    <numFmt numFmtId="173" formatCode="0.0_)"/>
    <numFmt numFmtId="174" formatCode="0.00_)"/>
    <numFmt numFmtId="175" formatCode="0_)"/>
    <numFmt numFmtId="176" formatCode="0.0"/>
    <numFmt numFmtId="177" formatCode="0.000_)"/>
    <numFmt numFmtId="178" formatCode="0.0000"/>
    <numFmt numFmtId="179" formatCode="0.000"/>
    <numFmt numFmtId="180" formatCode="#,##0.0"/>
    <numFmt numFmtId="181" formatCode="0.00000"/>
    <numFmt numFmtId="182" formatCode="0.000000"/>
    <numFmt numFmtId="183" formatCode="0.0000000"/>
    <numFmt numFmtId="184" formatCode="#\ ##0.00"/>
    <numFmt numFmtId="185" formatCode="#\ ##0"/>
  </numFmts>
  <fonts count="7">
    <font>
      <sz val="12"/>
      <name val="Courier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172" fontId="5" fillId="0" borderId="0" xfId="0" applyNumberFormat="1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176" fontId="1" fillId="0" borderId="0" xfId="0" applyNumberFormat="1" applyFont="1" applyAlignment="1">
      <alignment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175" fontId="5" fillId="0" borderId="0" xfId="0" applyNumberFormat="1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175" fontId="1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 locked="0"/>
    </xf>
    <xf numFmtId="2" fontId="1" fillId="0" borderId="0" xfId="0" applyNumberFormat="1" applyFont="1" applyAlignment="1">
      <alignment/>
    </xf>
    <xf numFmtId="2" fontId="5" fillId="0" borderId="0" xfId="0" applyNumberFormat="1" applyFont="1" applyFill="1" applyAlignment="1" applyProtection="1">
      <alignment/>
      <protection/>
    </xf>
    <xf numFmtId="176" fontId="5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5" fillId="0" borderId="5" xfId="0" applyFont="1" applyFill="1" applyBorder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1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73" fontId="5" fillId="2" borderId="0" xfId="0" applyNumberFormat="1" applyFont="1" applyFill="1" applyAlignment="1" applyProtection="1">
      <alignment/>
      <protection locked="0"/>
    </xf>
    <xf numFmtId="175" fontId="6" fillId="2" borderId="1" xfId="0" applyNumberFormat="1" applyFont="1" applyFill="1" applyBorder="1" applyAlignment="1" applyProtection="1">
      <alignment/>
      <protection locked="0"/>
    </xf>
    <xf numFmtId="176" fontId="5" fillId="2" borderId="0" xfId="0" applyNumberFormat="1" applyFont="1" applyFill="1" applyBorder="1" applyAlignment="1" applyProtection="1">
      <alignment/>
      <protection/>
    </xf>
    <xf numFmtId="173" fontId="5" fillId="2" borderId="0" xfId="0" applyNumberFormat="1" applyFont="1" applyFill="1" applyBorder="1" applyAlignment="1" applyProtection="1">
      <alignment/>
      <protection locked="0"/>
    </xf>
    <xf numFmtId="176" fontId="5" fillId="2" borderId="0" xfId="0" applyNumberFormat="1" applyFont="1" applyFill="1" applyAlignment="1" applyProtection="1">
      <alignment/>
      <protection/>
    </xf>
    <xf numFmtId="174" fontId="5" fillId="2" borderId="0" xfId="0" applyNumberFormat="1" applyFont="1" applyFill="1" applyBorder="1" applyAlignment="1" applyProtection="1">
      <alignment/>
      <protection locked="0"/>
    </xf>
    <xf numFmtId="2" fontId="5" fillId="2" borderId="0" xfId="0" applyNumberFormat="1" applyFont="1" applyFill="1" applyAlignment="1" applyProtection="1">
      <alignment/>
      <protection/>
    </xf>
    <xf numFmtId="177" fontId="5" fillId="2" borderId="0" xfId="0" applyNumberFormat="1" applyFont="1" applyFill="1" applyBorder="1" applyAlignment="1" applyProtection="1">
      <alignment/>
      <protection locked="0"/>
    </xf>
    <xf numFmtId="2" fontId="5" fillId="2" borderId="0" xfId="0" applyNumberFormat="1" applyFont="1" applyFill="1" applyBorder="1" applyAlignment="1" applyProtection="1">
      <alignment/>
      <protection/>
    </xf>
    <xf numFmtId="177" fontId="5" fillId="2" borderId="3" xfId="0" applyNumberFormat="1" applyFont="1" applyFill="1" applyBorder="1" applyAlignment="1" applyProtection="1">
      <alignment/>
      <protection locked="0"/>
    </xf>
    <xf numFmtId="2" fontId="5" fillId="2" borderId="3" xfId="0" applyNumberFormat="1" applyFont="1" applyFill="1" applyBorder="1" applyAlignment="1" applyProtection="1">
      <alignment/>
      <protection/>
    </xf>
    <xf numFmtId="2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184" fontId="3" fillId="0" borderId="0" xfId="0" applyNumberFormat="1" applyFont="1" applyFill="1" applyAlignment="1" applyProtection="1">
      <alignment/>
      <protection/>
    </xf>
    <xf numFmtId="184" fontId="5" fillId="0" borderId="0" xfId="0" applyNumberFormat="1" applyFont="1" applyFill="1" applyAlignment="1" applyProtection="1">
      <alignment/>
      <protection/>
    </xf>
    <xf numFmtId="184" fontId="5" fillId="0" borderId="3" xfId="0" applyNumberFormat="1" applyFont="1" applyFill="1" applyBorder="1" applyAlignment="1" applyProtection="1">
      <alignment/>
      <protection locked="0"/>
    </xf>
    <xf numFmtId="184" fontId="1" fillId="0" borderId="0" xfId="0" applyNumberFormat="1" applyFont="1" applyAlignment="1">
      <alignment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/>
      <protection/>
    </xf>
    <xf numFmtId="184" fontId="5" fillId="0" borderId="0" xfId="0" applyNumberFormat="1" applyFont="1" applyFill="1" applyAlignment="1" applyProtection="1">
      <alignment/>
      <protection/>
    </xf>
    <xf numFmtId="184" fontId="6" fillId="2" borderId="1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 applyProtection="1">
      <alignment/>
      <protection/>
    </xf>
    <xf numFmtId="184" fontId="6" fillId="2" borderId="0" xfId="0" applyNumberFormat="1" applyFont="1" applyFill="1" applyAlignment="1" applyProtection="1">
      <alignment/>
      <protection locked="0"/>
    </xf>
    <xf numFmtId="184" fontId="5" fillId="0" borderId="3" xfId="0" applyNumberFormat="1" applyFont="1" applyFill="1" applyBorder="1" applyAlignment="1" applyProtection="1">
      <alignment/>
      <protection/>
    </xf>
    <xf numFmtId="184" fontId="6" fillId="0" borderId="5" xfId="0" applyNumberFormat="1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Fill="1" applyAlignment="1">
      <alignment/>
    </xf>
    <xf numFmtId="184" fontId="1" fillId="0" borderId="5" xfId="0" applyNumberFormat="1" applyFont="1" applyBorder="1" applyAlignment="1">
      <alignment/>
    </xf>
    <xf numFmtId="184" fontId="5" fillId="0" borderId="1" xfId="0" applyNumberFormat="1" applyFont="1" applyFill="1" applyBorder="1" applyAlignment="1" applyProtection="1">
      <alignment/>
      <protection/>
    </xf>
    <xf numFmtId="184" fontId="5" fillId="0" borderId="6" xfId="0" applyNumberFormat="1" applyFont="1" applyFill="1" applyBorder="1" applyAlignment="1" applyProtection="1">
      <alignment/>
      <protection/>
    </xf>
    <xf numFmtId="184" fontId="5" fillId="0" borderId="7" xfId="0" applyNumberFormat="1" applyFont="1" applyFill="1" applyBorder="1" applyAlignment="1" applyProtection="1">
      <alignment/>
      <protection/>
    </xf>
    <xf numFmtId="184" fontId="5" fillId="2" borderId="0" xfId="0" applyNumberFormat="1" applyFont="1" applyFill="1" applyBorder="1" applyAlignment="1" applyProtection="1">
      <alignment/>
      <protection locked="0"/>
    </xf>
    <xf numFmtId="184" fontId="5" fillId="2" borderId="1" xfId="0" applyNumberFormat="1" applyFont="1" applyFill="1" applyBorder="1" applyAlignment="1" applyProtection="1">
      <alignment/>
      <protection locked="0"/>
    </xf>
    <xf numFmtId="184" fontId="5" fillId="0" borderId="5" xfId="0" applyNumberFormat="1" applyFont="1" applyFill="1" applyBorder="1" applyAlignment="1" applyProtection="1">
      <alignment/>
      <protection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184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Fill="1" applyAlignment="1" applyProtection="1">
      <alignment/>
      <protection/>
    </xf>
    <xf numFmtId="185" fontId="5" fillId="0" borderId="3" xfId="0" applyNumberFormat="1" applyFont="1" applyFill="1" applyBorder="1" applyAlignment="1" applyProtection="1">
      <alignment/>
      <protection locked="0"/>
    </xf>
    <xf numFmtId="185" fontId="1" fillId="0" borderId="0" xfId="0" applyNumberFormat="1" applyFont="1" applyFill="1" applyAlignment="1">
      <alignment/>
    </xf>
    <xf numFmtId="185" fontId="5" fillId="0" borderId="0" xfId="0" applyNumberFormat="1" applyFont="1" applyFill="1" applyAlignment="1" applyProtection="1">
      <alignment/>
      <protection locked="0"/>
    </xf>
    <xf numFmtId="185" fontId="5" fillId="0" borderId="0" xfId="0" applyNumberFormat="1" applyFont="1" applyFill="1" applyAlignment="1" applyProtection="1">
      <alignment/>
      <protection/>
    </xf>
    <xf numFmtId="185" fontId="6" fillId="0" borderId="1" xfId="0" applyNumberFormat="1" applyFont="1" applyFill="1" applyBorder="1" applyAlignment="1" applyProtection="1">
      <alignment/>
      <protection locked="0"/>
    </xf>
    <xf numFmtId="185" fontId="5" fillId="2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 applyProtection="1">
      <alignment/>
      <protection/>
    </xf>
    <xf numFmtId="185" fontId="6" fillId="2" borderId="0" xfId="0" applyNumberFormat="1" applyFont="1" applyFill="1" applyAlignment="1" applyProtection="1">
      <alignment/>
      <protection locked="0"/>
    </xf>
    <xf numFmtId="185" fontId="5" fillId="0" borderId="3" xfId="0" applyNumberFormat="1" applyFont="1" applyFill="1" applyBorder="1" applyAlignment="1" applyProtection="1">
      <alignment/>
      <protection/>
    </xf>
    <xf numFmtId="185" fontId="6" fillId="0" borderId="5" xfId="0" applyNumberFormat="1" applyFont="1" applyFill="1" applyBorder="1" applyAlignment="1" applyProtection="1">
      <alignment/>
      <protection/>
    </xf>
    <xf numFmtId="185" fontId="5" fillId="0" borderId="0" xfId="0" applyNumberFormat="1" applyFont="1" applyFill="1" applyBorder="1" applyAlignment="1" applyProtection="1">
      <alignment/>
      <protection locked="0"/>
    </xf>
    <xf numFmtId="185" fontId="5" fillId="0" borderId="0" xfId="0" applyNumberFormat="1" applyFont="1" applyFill="1" applyAlignment="1">
      <alignment/>
    </xf>
    <xf numFmtId="185" fontId="1" fillId="0" borderId="5" xfId="0" applyNumberFormat="1" applyFont="1" applyFill="1" applyBorder="1" applyAlignment="1">
      <alignment/>
    </xf>
    <xf numFmtId="185" fontId="5" fillId="0" borderId="1" xfId="0" applyNumberFormat="1" applyFont="1" applyFill="1" applyBorder="1" applyAlignment="1" applyProtection="1">
      <alignment/>
      <protection/>
    </xf>
    <xf numFmtId="185" fontId="5" fillId="0" borderId="6" xfId="0" applyNumberFormat="1" applyFont="1" applyFill="1" applyBorder="1" applyAlignment="1" applyProtection="1">
      <alignment/>
      <protection/>
    </xf>
    <xf numFmtId="185" fontId="5" fillId="0" borderId="7" xfId="0" applyNumberFormat="1" applyFont="1" applyFill="1" applyBorder="1" applyAlignment="1" applyProtection="1">
      <alignment/>
      <protection/>
    </xf>
    <xf numFmtId="185" fontId="5" fillId="2" borderId="1" xfId="0" applyNumberFormat="1" applyFont="1" applyFill="1" applyBorder="1" applyAlignment="1" applyProtection="1">
      <alignment/>
      <protection locked="0"/>
    </xf>
    <xf numFmtId="185" fontId="5" fillId="0" borderId="5" xfId="0" applyNumberFormat="1" applyFont="1" applyFill="1" applyBorder="1" applyAlignment="1" applyProtection="1">
      <alignment/>
      <protection/>
    </xf>
    <xf numFmtId="185" fontId="4" fillId="0" borderId="0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185" fontId="5" fillId="2" borderId="0" xfId="0" applyNumberFormat="1" applyFont="1" applyFill="1" applyAlignment="1" applyProtection="1">
      <alignment/>
      <protection/>
    </xf>
    <xf numFmtId="185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73"/>
  <sheetViews>
    <sheetView showGridLines="0" showZeros="0" tabSelected="1" showOutlineSymbols="0" workbookViewId="0" topLeftCell="A1">
      <selection activeCell="K34" sqref="K34"/>
    </sheetView>
  </sheetViews>
  <sheetFormatPr defaultColWidth="10.796875" defaultRowHeight="15"/>
  <cols>
    <col min="1" max="1" width="16.19921875" style="3" customWidth="1"/>
    <col min="2" max="2" width="5.8984375" style="3" customWidth="1"/>
    <col min="3" max="4" width="4.8984375" style="3" customWidth="1"/>
    <col min="5" max="5" width="6.19921875" style="3" customWidth="1"/>
    <col min="6" max="6" width="6.796875" style="3" customWidth="1"/>
    <col min="7" max="7" width="8.796875" style="77" customWidth="1"/>
    <col min="8" max="8" width="2.796875" style="3" customWidth="1"/>
    <col min="9" max="9" width="11" style="78" customWidth="1"/>
    <col min="10" max="10" width="3.59765625" style="3" bestFit="1" customWidth="1"/>
    <col min="11" max="16384" width="10.796875" style="3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54"/>
      <c r="H1" s="6"/>
      <c r="I1" s="98"/>
      <c r="J1" s="6"/>
      <c r="K1" s="39">
        <f ca="1">TODAY()</f>
        <v>40407</v>
      </c>
    </row>
    <row r="2" spans="1:11" ht="15.75">
      <c r="A2" s="1"/>
      <c r="B2" s="2"/>
      <c r="C2" s="2"/>
      <c r="D2" s="2"/>
      <c r="E2" s="2"/>
      <c r="F2" s="2"/>
      <c r="G2" s="54"/>
      <c r="H2" s="6"/>
      <c r="I2" s="98"/>
      <c r="J2" s="6"/>
      <c r="K2" s="78"/>
    </row>
    <row r="3" spans="1:11" s="9" customFormat="1" ht="12.75">
      <c r="A3" s="7"/>
      <c r="B3" s="7"/>
      <c r="C3" s="7"/>
      <c r="D3" s="7"/>
      <c r="E3" s="7"/>
      <c r="F3" s="7"/>
      <c r="G3" s="55" t="s">
        <v>1</v>
      </c>
      <c r="I3" s="99" t="s">
        <v>2</v>
      </c>
      <c r="K3" s="79" t="s">
        <v>1</v>
      </c>
    </row>
    <row r="4" spans="1:11" s="9" customFormat="1" ht="12.75">
      <c r="A4" s="10"/>
      <c r="B4" s="7"/>
      <c r="C4" s="7"/>
      <c r="D4" s="7"/>
      <c r="E4" s="7"/>
      <c r="F4" s="7"/>
      <c r="G4" s="56" t="s">
        <v>3</v>
      </c>
      <c r="I4" s="99" t="s">
        <v>4</v>
      </c>
      <c r="K4" s="80" t="s">
        <v>3</v>
      </c>
    </row>
    <row r="5" spans="1:11" s="9" customFormat="1" ht="12.75">
      <c r="A5" s="11" t="s">
        <v>5</v>
      </c>
      <c r="B5" s="12"/>
      <c r="C5" s="12"/>
      <c r="D5" s="12"/>
      <c r="E5" s="12"/>
      <c r="F5" s="12"/>
      <c r="G5" s="57">
        <f>IF(G7&lt;125,3.7+G9/30.5,G6+G9/30.5)</f>
        <v>18.743169398907106</v>
      </c>
      <c r="I5" s="99"/>
      <c r="K5" s="81">
        <f>IF(K7&lt;125,3.7+K9/30.5,K6+K9/30.5)</f>
        <v>21.366120218579233</v>
      </c>
    </row>
    <row r="6" spans="1:11" s="9" customFormat="1" ht="12.75">
      <c r="A6" s="8" t="s">
        <v>6</v>
      </c>
      <c r="B6" s="14"/>
      <c r="C6" s="14"/>
      <c r="D6" s="14"/>
      <c r="E6" s="14"/>
      <c r="F6" s="14"/>
      <c r="G6" s="58">
        <v>10</v>
      </c>
      <c r="I6" s="99" t="s">
        <v>7</v>
      </c>
      <c r="K6" s="82">
        <f>+G6</f>
        <v>10</v>
      </c>
    </row>
    <row r="7" spans="1:11" s="9" customFormat="1" ht="12.75">
      <c r="A7" s="8" t="s">
        <v>8</v>
      </c>
      <c r="B7" s="14"/>
      <c r="C7" s="14"/>
      <c r="D7" s="14"/>
      <c r="E7" s="14"/>
      <c r="F7" s="14"/>
      <c r="G7" s="58">
        <v>320</v>
      </c>
      <c r="I7" s="99"/>
      <c r="K7" s="82">
        <f>+G7</f>
        <v>320</v>
      </c>
    </row>
    <row r="8" spans="1:11" s="9" customFormat="1" ht="12.75">
      <c r="A8" s="15" t="s">
        <v>9</v>
      </c>
      <c r="B8" s="14"/>
      <c r="C8" s="14"/>
      <c r="D8" s="14"/>
      <c r="E8" s="14"/>
      <c r="F8" s="14"/>
      <c r="G8" s="59">
        <v>1200</v>
      </c>
      <c r="I8" s="100">
        <v>1000</v>
      </c>
      <c r="K8" s="83">
        <f>IF(K7&lt;125,(K10-125)/(K5-3.7)/30.5*1000,(K10-K7)/(K5-K6)/30.5*1000)</f>
        <v>1153.8461538461543</v>
      </c>
    </row>
    <row r="9" spans="1:11" s="9" customFormat="1" ht="12.75">
      <c r="A9" s="8" t="s">
        <v>10</v>
      </c>
      <c r="B9" s="14"/>
      <c r="C9" s="14"/>
      <c r="D9" s="14"/>
      <c r="E9" s="14"/>
      <c r="F9" s="14"/>
      <c r="G9" s="60">
        <f>IF(G7&lt;125,(G10-125)/G8*1000,(G10-G7)/G8*1000)</f>
        <v>266.6666666666667</v>
      </c>
      <c r="I9" s="99">
        <f>+I10/I8*1000</f>
        <v>80</v>
      </c>
      <c r="K9" s="83">
        <f>+G9+I9</f>
        <v>346.6666666666667</v>
      </c>
    </row>
    <row r="10" spans="1:11" s="9" customFormat="1" ht="12.75">
      <c r="A10" s="18" t="s">
        <v>11</v>
      </c>
      <c r="B10" s="12"/>
      <c r="C10" s="12"/>
      <c r="D10" s="12"/>
      <c r="E10" s="12"/>
      <c r="F10" s="12"/>
      <c r="G10" s="61">
        <v>640</v>
      </c>
      <c r="I10" s="101">
        <v>80</v>
      </c>
      <c r="K10" s="84">
        <f>+G10+I10</f>
        <v>720</v>
      </c>
    </row>
    <row r="11" spans="1:11" s="9" customFormat="1" ht="12.75">
      <c r="A11" s="8" t="s">
        <v>12</v>
      </c>
      <c r="B11" s="14"/>
      <c r="C11" s="14"/>
      <c r="D11" s="14"/>
      <c r="E11" s="14"/>
      <c r="F11" s="14"/>
      <c r="G11" s="58">
        <v>59</v>
      </c>
      <c r="I11" s="99"/>
      <c r="K11" s="85">
        <v>59</v>
      </c>
    </row>
    <row r="12" spans="1:11" s="9" customFormat="1" ht="12.75">
      <c r="A12" s="8" t="s">
        <v>13</v>
      </c>
      <c r="B12" s="14"/>
      <c r="C12" s="14"/>
      <c r="D12" s="14"/>
      <c r="E12" s="14"/>
      <c r="F12" s="14"/>
      <c r="G12" s="62">
        <f>+G10*G11/100</f>
        <v>377.6</v>
      </c>
      <c r="I12" s="99"/>
      <c r="K12" s="86">
        <f>+K10*K11/100</f>
        <v>424.8</v>
      </c>
    </row>
    <row r="13" spans="1:11" s="9" customFormat="1" ht="12.75">
      <c r="A13" s="8" t="s">
        <v>14</v>
      </c>
      <c r="B13" s="14"/>
      <c r="C13" s="14"/>
      <c r="D13" s="14"/>
      <c r="E13" s="14"/>
      <c r="F13" s="14"/>
      <c r="G13" s="63">
        <v>3.2</v>
      </c>
      <c r="I13" s="99"/>
      <c r="K13" s="87">
        <v>3.2</v>
      </c>
    </row>
    <row r="14" spans="1:11" s="9" customFormat="1" ht="12.75">
      <c r="A14" s="8" t="s">
        <v>15</v>
      </c>
      <c r="B14" s="14"/>
      <c r="C14" s="14"/>
      <c r="D14" s="14"/>
      <c r="E14" s="14"/>
      <c r="F14" s="14"/>
      <c r="G14" s="60">
        <f>+G13*G12</f>
        <v>1208.3200000000002</v>
      </c>
      <c r="I14" s="99"/>
      <c r="K14" s="83">
        <f>+K13*K12</f>
        <v>1359.3600000000001</v>
      </c>
    </row>
    <row r="15" spans="1:11" s="9" customFormat="1" ht="12.75">
      <c r="A15" s="8" t="s">
        <v>16</v>
      </c>
      <c r="B15" s="14"/>
      <c r="C15" s="14"/>
      <c r="D15" s="14"/>
      <c r="E15" s="14"/>
      <c r="F15" s="14"/>
      <c r="G15" s="58">
        <v>30</v>
      </c>
      <c r="I15" s="99"/>
      <c r="K15" s="82">
        <f>+G15</f>
        <v>30</v>
      </c>
    </row>
    <row r="16" spans="1:11" s="9" customFormat="1" ht="12.75">
      <c r="A16" s="8" t="s">
        <v>17</v>
      </c>
      <c r="B16" s="14"/>
      <c r="C16" s="14"/>
      <c r="D16" s="14"/>
      <c r="E16" s="14"/>
      <c r="F16" s="14"/>
      <c r="G16" s="60">
        <f>+G14-G15</f>
        <v>1178.3200000000002</v>
      </c>
      <c r="I16" s="99"/>
      <c r="K16" s="83">
        <f>+K14-K15</f>
        <v>1329.3600000000001</v>
      </c>
    </row>
    <row r="17" spans="1:11" s="9" customFormat="1" ht="12.75">
      <c r="A17" s="8" t="s">
        <v>18</v>
      </c>
      <c r="B17" s="14"/>
      <c r="C17" s="14"/>
      <c r="D17" s="14"/>
      <c r="E17" s="14"/>
      <c r="F17" s="41">
        <v>10.7</v>
      </c>
      <c r="G17" s="64">
        <f>+G16*F17/100</f>
        <v>126.08024000000002</v>
      </c>
      <c r="I17" s="99"/>
      <c r="K17" s="88">
        <f>+K16*F17/100</f>
        <v>142.24152</v>
      </c>
    </row>
    <row r="18" spans="1:11" s="9" customFormat="1" ht="12.75">
      <c r="A18" s="18" t="s">
        <v>19</v>
      </c>
      <c r="B18" s="12"/>
      <c r="C18" s="12"/>
      <c r="D18" s="12"/>
      <c r="E18" s="12"/>
      <c r="F18" s="12"/>
      <c r="G18" s="65">
        <f>+G16+G17</f>
        <v>1304.4002400000002</v>
      </c>
      <c r="I18" s="99"/>
      <c r="K18" s="89">
        <f>+K16+K17</f>
        <v>1471.6015200000002</v>
      </c>
    </row>
    <row r="19" spans="1:11" s="9" customFormat="1" ht="12.75">
      <c r="A19" s="11" t="s">
        <v>20</v>
      </c>
      <c r="B19" s="12"/>
      <c r="C19" s="12"/>
      <c r="D19" s="12"/>
      <c r="E19" s="12"/>
      <c r="F19" s="42">
        <v>705</v>
      </c>
      <c r="G19" s="57"/>
      <c r="I19" s="99"/>
      <c r="J19" s="19"/>
      <c r="K19" s="81"/>
    </row>
    <row r="20" spans="1:11" s="9" customFormat="1" ht="12.75">
      <c r="A20" s="20" t="s">
        <v>18</v>
      </c>
      <c r="B20" s="21"/>
      <c r="C20" s="21"/>
      <c r="D20" s="21"/>
      <c r="E20" s="21"/>
      <c r="F20" s="43">
        <v>7</v>
      </c>
      <c r="G20" s="66">
        <f>+(100+F20)/100*F19</f>
        <v>754.35</v>
      </c>
      <c r="I20" s="99"/>
      <c r="J20" s="13"/>
      <c r="K20" s="90">
        <f>+(100+F20)/100*F19</f>
        <v>754.35</v>
      </c>
    </row>
    <row r="21" spans="1:11" s="9" customFormat="1" ht="12.75">
      <c r="A21" s="8" t="s">
        <v>21</v>
      </c>
      <c r="B21" s="7"/>
      <c r="C21" s="7"/>
      <c r="D21" s="7"/>
      <c r="E21" s="7"/>
      <c r="F21" s="7"/>
      <c r="G21" s="58">
        <v>0</v>
      </c>
      <c r="I21" s="99"/>
      <c r="K21" s="82">
        <f>+G21</f>
        <v>0</v>
      </c>
    </row>
    <row r="22" spans="1:11" s="9" customFormat="1" ht="12.75">
      <c r="A22" s="15" t="s">
        <v>22</v>
      </c>
      <c r="B22" s="14"/>
      <c r="C22" s="14"/>
      <c r="D22" s="14"/>
      <c r="E22" s="14"/>
      <c r="F22" s="8" t="s">
        <v>23</v>
      </c>
      <c r="G22" s="60"/>
      <c r="I22" s="99"/>
      <c r="K22" s="83"/>
    </row>
    <row r="23" spans="1:11" s="9" customFormat="1" ht="12.75">
      <c r="A23" s="8"/>
      <c r="B23" s="8" t="s">
        <v>24</v>
      </c>
      <c r="C23" s="22" t="s">
        <v>25</v>
      </c>
      <c r="D23" s="22" t="s">
        <v>26</v>
      </c>
      <c r="E23" s="22" t="s">
        <v>27</v>
      </c>
      <c r="F23" s="22" t="s">
        <v>28</v>
      </c>
      <c r="G23" s="67" t="s">
        <v>29</v>
      </c>
      <c r="I23" s="99" t="s">
        <v>23</v>
      </c>
      <c r="K23" s="91" t="s">
        <v>29</v>
      </c>
    </row>
    <row r="24" spans="1:11" s="9" customFormat="1" ht="12.75">
      <c r="A24" s="8"/>
      <c r="B24" s="8" t="s">
        <v>30</v>
      </c>
      <c r="C24" s="22" t="s">
        <v>31</v>
      </c>
      <c r="D24" s="22" t="s">
        <v>32</v>
      </c>
      <c r="E24" s="22" t="s">
        <v>33</v>
      </c>
      <c r="F24" s="22" t="s">
        <v>34</v>
      </c>
      <c r="G24" s="67"/>
      <c r="I24" s="99" t="s">
        <v>35</v>
      </c>
      <c r="K24" s="91"/>
    </row>
    <row r="25" spans="1:11" s="9" customFormat="1" ht="12.75">
      <c r="A25" s="8"/>
      <c r="B25" s="23" t="s">
        <v>36</v>
      </c>
      <c r="C25" s="24"/>
      <c r="D25" s="24" t="s">
        <v>31</v>
      </c>
      <c r="E25" s="24"/>
      <c r="F25" s="24" t="s">
        <v>37</v>
      </c>
      <c r="G25" s="67"/>
      <c r="I25" s="99" t="s">
        <v>38</v>
      </c>
      <c r="J25" s="40">
        <v>100</v>
      </c>
      <c r="K25" s="91" t="s">
        <v>39</v>
      </c>
    </row>
    <row r="26" spans="1:11" s="9" customFormat="1" ht="12.75">
      <c r="A26" s="8" t="s">
        <v>40</v>
      </c>
      <c r="B26" s="44">
        <v>12</v>
      </c>
      <c r="C26" s="45">
        <v>2</v>
      </c>
      <c r="D26" s="8">
        <f>+C26*0.87</f>
        <v>1.74</v>
      </c>
      <c r="E26" s="25">
        <f>+C26*11.5</f>
        <v>23</v>
      </c>
      <c r="F26" s="26">
        <f>+C26*G$9</f>
        <v>533.3333333333334</v>
      </c>
      <c r="G26" s="60">
        <f>$B26*F26/100</f>
        <v>64</v>
      </c>
      <c r="I26" s="99"/>
      <c r="K26" s="83"/>
    </row>
    <row r="27" spans="1:11" s="9" customFormat="1" ht="12.75">
      <c r="A27" s="8" t="s">
        <v>41</v>
      </c>
      <c r="B27" s="44">
        <v>22</v>
      </c>
      <c r="C27" s="45">
        <v>1</v>
      </c>
      <c r="D27" s="8">
        <f>+C27*0.87</f>
        <v>0.87</v>
      </c>
      <c r="E27" s="25">
        <f>+C27*12</f>
        <v>12</v>
      </c>
      <c r="F27" s="26">
        <f>+C27*G$9</f>
        <v>266.6666666666667</v>
      </c>
      <c r="G27" s="60">
        <f>$B27*F27/100</f>
        <v>58.66666666666667</v>
      </c>
      <c r="I27" s="99" t="s">
        <v>42</v>
      </c>
      <c r="J27" s="27">
        <f>+J25/E32*D32</f>
        <v>8.856321839080461</v>
      </c>
      <c r="K27" s="83" t="s">
        <v>43</v>
      </c>
    </row>
    <row r="28" spans="1:11" s="9" customFormat="1" ht="12.75">
      <c r="A28" s="8" t="s">
        <v>44</v>
      </c>
      <c r="B28" s="46">
        <v>45</v>
      </c>
      <c r="C28" s="47">
        <v>0.1</v>
      </c>
      <c r="D28" s="28">
        <f>+C28*0.95</f>
        <v>0.095</v>
      </c>
      <c r="E28" s="25">
        <v>0</v>
      </c>
      <c r="F28" s="26">
        <f>+C28*G$9</f>
        <v>26.66666666666667</v>
      </c>
      <c r="G28" s="60">
        <f>$B28*F28/100</f>
        <v>12.000000000000002</v>
      </c>
      <c r="I28" s="99" t="s">
        <v>45</v>
      </c>
      <c r="J28" s="27">
        <f>+J27/D32*D33</f>
        <v>1.2273735632183909</v>
      </c>
      <c r="K28" s="83" t="s">
        <v>46</v>
      </c>
    </row>
    <row r="29" spans="1:11" s="9" customFormat="1" ht="12.75">
      <c r="A29" s="8" t="s">
        <v>47</v>
      </c>
      <c r="B29" s="48">
        <v>0.09</v>
      </c>
      <c r="C29" s="8"/>
      <c r="D29" s="47">
        <v>3.5</v>
      </c>
      <c r="E29" s="25">
        <f>+D29*10.7</f>
        <v>37.449999999999996</v>
      </c>
      <c r="F29" s="16">
        <f>+E29*G$9*1.1</f>
        <v>10985.333333333334</v>
      </c>
      <c r="G29" s="60">
        <f>$B29*F29/10</f>
        <v>98.86800000000001</v>
      </c>
      <c r="I29" s="99"/>
      <c r="K29" s="83"/>
    </row>
    <row r="30" spans="1:11" s="9" customFormat="1" ht="12.75">
      <c r="A30" s="20" t="s">
        <v>48</v>
      </c>
      <c r="B30" s="48">
        <v>0.12</v>
      </c>
      <c r="C30" s="20"/>
      <c r="D30" s="49">
        <v>1.5</v>
      </c>
      <c r="E30" s="25">
        <f>+D30*9.7</f>
        <v>14.549999999999999</v>
      </c>
      <c r="F30" s="16">
        <f>+E30*G$9*1.1</f>
        <v>4268</v>
      </c>
      <c r="G30" s="60">
        <f>$B30*F30/10</f>
        <v>51.215999999999994</v>
      </c>
      <c r="I30" s="99" t="s">
        <v>49</v>
      </c>
      <c r="K30" s="83"/>
    </row>
    <row r="31" spans="1:11" s="9" customFormat="1" ht="12.75">
      <c r="A31" s="23" t="s">
        <v>50</v>
      </c>
      <c r="B31" s="50">
        <v>0</v>
      </c>
      <c r="C31" s="23"/>
      <c r="D31" s="51">
        <v>0</v>
      </c>
      <c r="E31" s="29"/>
      <c r="F31" s="30">
        <f>+E31*G$9*1.1</f>
        <v>0</v>
      </c>
      <c r="G31" s="64">
        <f>$B31*F31/10</f>
        <v>0</v>
      </c>
      <c r="I31" s="99" t="s">
        <v>51</v>
      </c>
      <c r="K31" s="88"/>
    </row>
    <row r="32" spans="1:11" s="9" customFormat="1" ht="12.75">
      <c r="A32" s="31" t="s">
        <v>52</v>
      </c>
      <c r="B32" s="31"/>
      <c r="C32" s="32"/>
      <c r="D32" s="32">
        <f>SUM(D26:D31)</f>
        <v>7.705</v>
      </c>
      <c r="E32" s="33">
        <f>SUM(E26:E31)</f>
        <v>86.99999999999999</v>
      </c>
      <c r="F32" s="31"/>
      <c r="G32" s="68">
        <f>SUM(G26:G31)</f>
        <v>284.7506666666667</v>
      </c>
      <c r="I32" s="99">
        <f>+J28*I9</f>
        <v>98.18988505747127</v>
      </c>
      <c r="K32" s="92">
        <f>+G32+I32</f>
        <v>382.94055172413795</v>
      </c>
    </row>
    <row r="33" spans="1:11" s="9" customFormat="1" ht="12.75">
      <c r="A33" s="9" t="s">
        <v>53</v>
      </c>
      <c r="C33" s="8"/>
      <c r="D33" s="34">
        <f>+G32/G9</f>
        <v>1.067815</v>
      </c>
      <c r="E33" s="9" t="s">
        <v>46</v>
      </c>
      <c r="G33" s="57"/>
      <c r="I33" s="99"/>
      <c r="K33" s="81"/>
    </row>
    <row r="34" spans="1:11" s="9" customFormat="1" ht="12.75">
      <c r="A34" s="8" t="s">
        <v>54</v>
      </c>
      <c r="B34" s="14"/>
      <c r="C34" s="8"/>
      <c r="D34" s="8"/>
      <c r="E34" s="14"/>
      <c r="F34" s="14"/>
      <c r="G34" s="58">
        <v>20</v>
      </c>
      <c r="I34" s="99"/>
      <c r="K34" s="82">
        <f>+G34</f>
        <v>20</v>
      </c>
    </row>
    <row r="35" spans="1:11" s="9" customFormat="1" ht="12.75">
      <c r="A35" s="8" t="s">
        <v>55</v>
      </c>
      <c r="B35" s="14"/>
      <c r="C35" s="14"/>
      <c r="D35" s="52">
        <v>0.1</v>
      </c>
      <c r="E35" s="14" t="s">
        <v>46</v>
      </c>
      <c r="F35" s="14"/>
      <c r="G35" s="60">
        <f>+D35*G9</f>
        <v>26.66666666666667</v>
      </c>
      <c r="I35" s="99"/>
      <c r="K35" s="83">
        <f>+D35*K9</f>
        <v>34.66666666666667</v>
      </c>
    </row>
    <row r="36" spans="1:11" s="9" customFormat="1" ht="12.75">
      <c r="A36" s="8" t="s">
        <v>56</v>
      </c>
      <c r="B36" s="14"/>
      <c r="C36" s="14"/>
      <c r="D36" s="14"/>
      <c r="E36" s="14"/>
      <c r="F36" s="14"/>
      <c r="G36" s="58">
        <v>30</v>
      </c>
      <c r="I36" s="99"/>
      <c r="K36" s="82">
        <f>+G36</f>
        <v>30</v>
      </c>
    </row>
    <row r="37" spans="1:11" s="9" customFormat="1" ht="12.75">
      <c r="A37" s="8" t="s">
        <v>57</v>
      </c>
      <c r="B37" s="14"/>
      <c r="C37" s="41">
        <v>4</v>
      </c>
      <c r="D37" s="14">
        <f>+C37/100*F19/365</f>
        <v>0.07726027397260274</v>
      </c>
      <c r="E37" s="14" t="s">
        <v>46</v>
      </c>
      <c r="G37" s="60">
        <f>+D37*G9</f>
        <v>20.602739726027398</v>
      </c>
      <c r="I37" s="99"/>
      <c r="K37" s="83">
        <f>+D37*K9</f>
        <v>26.78356164383562</v>
      </c>
    </row>
    <row r="38" spans="1:11" s="9" customFormat="1" ht="12.75">
      <c r="A38" s="18" t="s">
        <v>58</v>
      </c>
      <c r="B38" s="12"/>
      <c r="C38" s="12"/>
      <c r="D38" s="12"/>
      <c r="E38" s="12"/>
      <c r="F38" s="12"/>
      <c r="G38" s="69">
        <f>+G20+G21+G32+G34+G35+G36+G37</f>
        <v>1136.370073059361</v>
      </c>
      <c r="I38" s="99"/>
      <c r="K38" s="93">
        <f>+K20+K21+K32+K34+K35+K36+K37</f>
        <v>1248.7407800346402</v>
      </c>
    </row>
    <row r="39" spans="1:11" s="9" customFormat="1" ht="13.5" thickBot="1">
      <c r="A39" s="35" t="s">
        <v>59</v>
      </c>
      <c r="B39" s="36"/>
      <c r="C39" s="36"/>
      <c r="D39" s="36"/>
      <c r="E39" s="36"/>
      <c r="F39" s="36"/>
      <c r="G39" s="70">
        <f>+G18-G38</f>
        <v>168.03016694063922</v>
      </c>
      <c r="I39" s="99"/>
      <c r="K39" s="94">
        <f>+K18-K38</f>
        <v>222.86073996535993</v>
      </c>
    </row>
    <row r="40" spans="1:11" s="9" customFormat="1" ht="13.5" thickTop="1">
      <c r="A40" s="8" t="s">
        <v>60</v>
      </c>
      <c r="B40" s="14"/>
      <c r="C40" s="14"/>
      <c r="D40" s="14"/>
      <c r="E40" s="14"/>
      <c r="F40" s="14"/>
      <c r="G40" s="58">
        <v>0</v>
      </c>
      <c r="I40" s="99"/>
      <c r="K40" s="82">
        <f>+G40</f>
        <v>0</v>
      </c>
    </row>
    <row r="41" spans="1:11" s="9" customFormat="1" ht="12.75">
      <c r="A41" s="8" t="s">
        <v>61</v>
      </c>
      <c r="B41" s="14"/>
      <c r="C41" s="14"/>
      <c r="D41" s="14"/>
      <c r="E41" s="14"/>
      <c r="F41" s="14"/>
      <c r="G41" s="60">
        <f>G39+G40</f>
        <v>168.03016694063922</v>
      </c>
      <c r="I41" s="99"/>
      <c r="K41" s="83">
        <f>K39+K40</f>
        <v>222.86073996535993</v>
      </c>
    </row>
    <row r="42" spans="1:11" s="9" customFormat="1" ht="12.75">
      <c r="A42" s="8" t="s">
        <v>62</v>
      </c>
      <c r="B42" s="14"/>
      <c r="C42" s="14"/>
      <c r="D42" s="14"/>
      <c r="E42" s="14"/>
      <c r="F42" s="53">
        <v>21</v>
      </c>
      <c r="G42" s="60"/>
      <c r="I42" s="99"/>
      <c r="J42" s="53">
        <v>21</v>
      </c>
      <c r="K42" s="83"/>
    </row>
    <row r="43" spans="1:11" s="9" customFormat="1" ht="12.75">
      <c r="A43" s="8" t="s">
        <v>63</v>
      </c>
      <c r="B43" s="14"/>
      <c r="C43" s="14"/>
      <c r="D43" s="14"/>
      <c r="E43" s="14"/>
      <c r="F43" s="17">
        <f>+F42+G9</f>
        <v>287.6666666666667</v>
      </c>
      <c r="G43" s="60"/>
      <c r="I43" s="99"/>
      <c r="J43" s="17">
        <f>+J42+K9</f>
        <v>367.6666666666667</v>
      </c>
      <c r="K43" s="83"/>
    </row>
    <row r="44" spans="1:11" s="9" customFormat="1" ht="12.75">
      <c r="A44" s="8" t="s">
        <v>64</v>
      </c>
      <c r="B44" s="14"/>
      <c r="C44" s="14"/>
      <c r="D44" s="14"/>
      <c r="E44" s="14"/>
      <c r="F44" s="17">
        <f>+G9/F43*100</f>
        <v>92.69988412514485</v>
      </c>
      <c r="G44" s="60"/>
      <c r="I44" s="99"/>
      <c r="J44" s="17">
        <f>+K9/J43*100</f>
        <v>94.2883046237534</v>
      </c>
      <c r="K44" s="83"/>
    </row>
    <row r="45" spans="1:11" s="9" customFormat="1" ht="12.75">
      <c r="A45" s="8" t="s">
        <v>65</v>
      </c>
      <c r="B45" s="14"/>
      <c r="C45" s="14"/>
      <c r="D45" s="14"/>
      <c r="E45" s="14"/>
      <c r="G45" s="60">
        <f>365/F43</f>
        <v>1.26882966396292</v>
      </c>
      <c r="I45" s="99"/>
      <c r="K45" s="83">
        <f>365/J43</f>
        <v>0.9927470534904804</v>
      </c>
    </row>
    <row r="46" spans="1:11" s="9" customFormat="1" ht="13.5" thickBot="1">
      <c r="A46" s="37" t="s">
        <v>66</v>
      </c>
      <c r="B46" s="38"/>
      <c r="C46" s="38"/>
      <c r="D46" s="38"/>
      <c r="E46" s="38"/>
      <c r="F46" s="38"/>
      <c r="G46" s="71">
        <f>ROUND(G41*G45,0)</f>
        <v>213</v>
      </c>
      <c r="I46" s="99"/>
      <c r="K46" s="95">
        <f>ROUND(K41*K45,0)</f>
        <v>221</v>
      </c>
    </row>
    <row r="47" spans="1:11" s="9" customFormat="1" ht="13.5" thickTop="1">
      <c r="A47" s="20" t="s">
        <v>67</v>
      </c>
      <c r="B47" s="21"/>
      <c r="C47" s="21"/>
      <c r="D47" s="21"/>
      <c r="E47" s="21"/>
      <c r="F47" s="21"/>
      <c r="G47" s="72">
        <v>140</v>
      </c>
      <c r="I47" s="99"/>
      <c r="K47" s="90">
        <f>+G47</f>
        <v>140</v>
      </c>
    </row>
    <row r="48" spans="1:11" s="9" customFormat="1" ht="12.75">
      <c r="A48" s="8" t="s">
        <v>68</v>
      </c>
      <c r="B48" s="14"/>
      <c r="C48" s="14"/>
      <c r="D48" s="14"/>
      <c r="E48" s="14"/>
      <c r="F48" s="14"/>
      <c r="G48" s="60">
        <f>+G47*G45</f>
        <v>177.6361529548088</v>
      </c>
      <c r="I48" s="99"/>
      <c r="K48" s="83">
        <f>+K47*K45</f>
        <v>138.98458748866727</v>
      </c>
    </row>
    <row r="49" spans="1:11" s="9" customFormat="1" ht="12.75">
      <c r="A49" s="8" t="s">
        <v>69</v>
      </c>
      <c r="B49" s="14"/>
      <c r="C49" s="14"/>
      <c r="D49" s="14"/>
      <c r="E49" s="14"/>
      <c r="F49" s="14"/>
      <c r="G49" s="60">
        <f>IF(G7&lt;125,G48*(3.7-G6)/12*1.1,0)</f>
        <v>0</v>
      </c>
      <c r="I49" s="99"/>
      <c r="K49" s="83">
        <f>IF(K7&lt;125,K48*(3.7-K6)/12*1.1,0)</f>
        <v>0</v>
      </c>
    </row>
    <row r="50" spans="1:11" s="9" customFormat="1" ht="12.75">
      <c r="A50" s="11" t="s">
        <v>70</v>
      </c>
      <c r="B50" s="12"/>
      <c r="C50" s="12"/>
      <c r="D50" s="12"/>
      <c r="E50" s="12"/>
      <c r="F50" s="12"/>
      <c r="G50" s="73">
        <v>150</v>
      </c>
      <c r="I50" s="99"/>
      <c r="K50" s="96">
        <v>150</v>
      </c>
    </row>
    <row r="51" spans="1:11" s="9" customFormat="1" ht="12.75">
      <c r="A51" s="8" t="s">
        <v>71</v>
      </c>
      <c r="B51" s="14"/>
      <c r="C51" s="14"/>
      <c r="D51" s="14"/>
      <c r="E51" s="14"/>
      <c r="F51" s="14"/>
      <c r="G51" s="60">
        <f>+G50/60/100*F43</f>
        <v>7.191666666666667</v>
      </c>
      <c r="I51" s="99"/>
      <c r="K51" s="83">
        <f>+K50/60/100*J43</f>
        <v>9.191666666666668</v>
      </c>
    </row>
    <row r="52" spans="1:11" s="9" customFormat="1" ht="12.75">
      <c r="A52" s="8" t="s">
        <v>72</v>
      </c>
      <c r="B52" s="14"/>
      <c r="C52" s="14"/>
      <c r="D52" s="14"/>
      <c r="E52" s="14"/>
      <c r="F52" s="14"/>
      <c r="G52" s="58">
        <v>0</v>
      </c>
      <c r="I52" s="99"/>
      <c r="K52" s="82">
        <f>+G52</f>
        <v>0</v>
      </c>
    </row>
    <row r="53" spans="1:11" s="9" customFormat="1" ht="12.75">
      <c r="A53" s="8" t="s">
        <v>73</v>
      </c>
      <c r="B53" s="14"/>
      <c r="C53" s="14"/>
      <c r="D53" s="14"/>
      <c r="E53" s="14"/>
      <c r="F53" s="14"/>
      <c r="G53" s="58">
        <v>1</v>
      </c>
      <c r="I53" s="99"/>
      <c r="K53" s="82">
        <f>+G53</f>
        <v>1</v>
      </c>
    </row>
    <row r="54" spans="1:11" s="9" customFormat="1" ht="12.75">
      <c r="A54" s="15" t="s">
        <v>74</v>
      </c>
      <c r="B54" s="14"/>
      <c r="C54" s="14"/>
      <c r="D54" s="14"/>
      <c r="E54" s="14"/>
      <c r="F54" s="14"/>
      <c r="G54" s="60">
        <f>+G52+G51+G53</f>
        <v>8.191666666666666</v>
      </c>
      <c r="I54" s="99"/>
      <c r="K54" s="83">
        <f>+K52+K51+K53</f>
        <v>10.191666666666668</v>
      </c>
    </row>
    <row r="55" spans="1:11" s="9" customFormat="1" ht="12.75">
      <c r="A55" s="8" t="s">
        <v>75</v>
      </c>
      <c r="B55" s="14"/>
      <c r="C55" s="14"/>
      <c r="D55" s="14"/>
      <c r="E55" s="14"/>
      <c r="F55" s="14"/>
      <c r="G55" s="60">
        <f>+G54*G48/G47</f>
        <v>10.393829663962919</v>
      </c>
      <c r="I55" s="99"/>
      <c r="K55" s="83">
        <f>+K54*K48/K47</f>
        <v>10.117747053490483</v>
      </c>
    </row>
    <row r="56" spans="1:11" s="9" customFormat="1" ht="12.75">
      <c r="A56" s="18" t="s">
        <v>76</v>
      </c>
      <c r="B56" s="12"/>
      <c r="C56" s="12"/>
      <c r="D56" s="12"/>
      <c r="E56" s="12"/>
      <c r="F56" s="12"/>
      <c r="G56" s="74">
        <f>+G41/G54</f>
        <v>20.512329636700617</v>
      </c>
      <c r="I56" s="99"/>
      <c r="K56" s="97">
        <f>+K41/K54</f>
        <v>21.866957314671453</v>
      </c>
    </row>
    <row r="57" spans="1:11" s="9" customFormat="1" ht="12.75">
      <c r="A57" s="11" t="s">
        <v>77</v>
      </c>
      <c r="B57" s="12"/>
      <c r="C57" s="12"/>
      <c r="D57" s="12"/>
      <c r="E57" s="12"/>
      <c r="F57" s="12"/>
      <c r="G57" s="58">
        <v>80</v>
      </c>
      <c r="I57" s="99"/>
      <c r="K57" s="82">
        <f>+G57</f>
        <v>80</v>
      </c>
    </row>
    <row r="58" spans="1:11" s="9" customFormat="1" ht="12.75">
      <c r="A58" s="8" t="s">
        <v>78</v>
      </c>
      <c r="B58" s="14"/>
      <c r="C58" s="14"/>
      <c r="D58" s="14"/>
      <c r="E58" s="14"/>
      <c r="F58" s="14"/>
      <c r="G58" s="60">
        <f>+G46-G57</f>
        <v>133</v>
      </c>
      <c r="I58" s="99"/>
      <c r="K58" s="83">
        <f>+K46-K57</f>
        <v>141</v>
      </c>
    </row>
    <row r="59" spans="1:11" s="9" customFormat="1" ht="12.75">
      <c r="A59" s="18" t="s">
        <v>79</v>
      </c>
      <c r="B59" s="12"/>
      <c r="C59" s="12"/>
      <c r="D59" s="12"/>
      <c r="E59" s="12"/>
      <c r="F59" s="12"/>
      <c r="G59" s="69">
        <f>+G58/G55</f>
        <v>12.796053456709265</v>
      </c>
      <c r="I59" s="99"/>
      <c r="K59" s="93">
        <f>+K58/K55</f>
        <v>13.935908780340279</v>
      </c>
    </row>
    <row r="60" spans="1:7" ht="15">
      <c r="A60" s="5"/>
      <c r="B60" s="5"/>
      <c r="C60" s="5"/>
      <c r="D60" s="5"/>
      <c r="E60" s="5"/>
      <c r="F60" s="5"/>
      <c r="G60" s="75"/>
    </row>
    <row r="61" spans="1:7" ht="15">
      <c r="A61" s="4"/>
      <c r="B61" s="4"/>
      <c r="C61" s="4"/>
      <c r="D61" s="4"/>
      <c r="E61" s="4"/>
      <c r="F61" s="4"/>
      <c r="G61" s="76"/>
    </row>
    <row r="62" spans="1:7" ht="15">
      <c r="A62" s="4"/>
      <c r="B62" s="4"/>
      <c r="C62" s="4"/>
      <c r="D62" s="4"/>
      <c r="E62" s="4"/>
      <c r="F62" s="4"/>
      <c r="G62" s="76"/>
    </row>
    <row r="63" spans="1:7" ht="15">
      <c r="A63" s="4"/>
      <c r="B63" s="4"/>
      <c r="C63" s="4"/>
      <c r="D63" s="4"/>
      <c r="E63" s="4"/>
      <c r="F63" s="4"/>
      <c r="G63" s="76"/>
    </row>
    <row r="64" spans="1:7" ht="15">
      <c r="A64" s="4"/>
      <c r="B64" s="4"/>
      <c r="C64" s="4"/>
      <c r="D64" s="4"/>
      <c r="E64" s="4"/>
      <c r="F64" s="4"/>
      <c r="G64" s="76"/>
    </row>
    <row r="65" spans="1:7" ht="15">
      <c r="A65" s="4"/>
      <c r="B65" s="4"/>
      <c r="C65" s="4"/>
      <c r="D65" s="4"/>
      <c r="E65" s="4"/>
      <c r="F65" s="4"/>
      <c r="G65" s="76"/>
    </row>
    <row r="66" spans="1:7" ht="15">
      <c r="A66" s="4"/>
      <c r="B66" s="4"/>
      <c r="C66" s="4"/>
      <c r="D66" s="4"/>
      <c r="E66" s="4"/>
      <c r="F66" s="4"/>
      <c r="G66" s="76"/>
    </row>
    <row r="67" spans="1:7" ht="15">
      <c r="A67" s="4"/>
      <c r="B67" s="4"/>
      <c r="C67" s="4"/>
      <c r="D67" s="4"/>
      <c r="E67" s="4"/>
      <c r="F67" s="4"/>
      <c r="G67" s="76"/>
    </row>
    <row r="68" spans="1:7" ht="15">
      <c r="A68" s="4"/>
      <c r="B68" s="4"/>
      <c r="C68" s="4"/>
      <c r="D68" s="4"/>
      <c r="E68" s="4"/>
      <c r="F68" s="4"/>
      <c r="G68" s="76"/>
    </row>
    <row r="69" spans="1:7" ht="15">
      <c r="A69" s="4"/>
      <c r="B69" s="4"/>
      <c r="C69" s="4"/>
      <c r="D69" s="4"/>
      <c r="E69" s="4"/>
      <c r="F69" s="4"/>
      <c r="G69" s="76"/>
    </row>
    <row r="70" spans="1:7" ht="15">
      <c r="A70" s="4"/>
      <c r="B70" s="4"/>
      <c r="C70" s="4"/>
      <c r="D70" s="4"/>
      <c r="E70" s="4"/>
      <c r="F70" s="4"/>
      <c r="G70" s="76"/>
    </row>
    <row r="71" spans="1:7" ht="15">
      <c r="A71" s="4"/>
      <c r="B71" s="4"/>
      <c r="C71" s="4"/>
      <c r="D71" s="4"/>
      <c r="E71" s="4"/>
      <c r="F71" s="4"/>
      <c r="G71" s="76"/>
    </row>
    <row r="72" spans="1:7" ht="15">
      <c r="A72" s="4"/>
      <c r="B72" s="4"/>
      <c r="C72" s="4"/>
      <c r="D72" s="4"/>
      <c r="E72" s="4"/>
      <c r="F72" s="4"/>
      <c r="G72" s="76"/>
    </row>
    <row r="73" spans="1:7" ht="15">
      <c r="A73" s="4"/>
      <c r="B73" s="4"/>
      <c r="C73" s="4"/>
      <c r="D73" s="4"/>
      <c r="E73" s="4"/>
      <c r="F73" s="4"/>
      <c r="G73" s="76"/>
    </row>
  </sheetData>
  <printOptions/>
  <pageMargins left="0.81" right="0.3937007874015748" top="1.5748031496062993" bottom="0.67" header="0.31496062992125984" footer="0.31496062992125984"/>
  <pageSetup fitToHeight="1" fitToWidth="1" horizontalDpi="600" verticalDpi="600" orientation="portrait" paperSize="9" scale="90" r:id="rId2"/>
  <headerFooter alignWithMargins="0">
    <oddHeader>&amp;R&amp;G</oddHeader>
    <oddFooter>&amp;L&amp;"Arial,Standard"&amp;10© DLR Westerwald-Osteifel
    Bahnhofstr. 32, 56410 Montabaur&amp;R&amp;"Arial,Standard"&amp;10Detlef Groß,
Tel.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</dc:creator>
  <cp:keywords/>
  <dc:description/>
  <cp:lastModifiedBy>Holthaus</cp:lastModifiedBy>
  <cp:lastPrinted>2010-08-16T13:44:07Z</cp:lastPrinted>
  <dcterms:created xsi:type="dcterms:W3CDTF">2000-09-14T08:00:55Z</dcterms:created>
  <dcterms:modified xsi:type="dcterms:W3CDTF">2010-08-17T14:27:25Z</dcterms:modified>
  <cp:category/>
  <cp:version/>
  <cp:contentType/>
  <cp:contentStatus/>
</cp:coreProperties>
</file>